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17" sheetId="6" r:id="rId6"/>
  </sheets>
  <definedNames/>
  <calcPr fullCalcOnLoad="1"/>
</workbook>
</file>

<file path=xl/sharedStrings.xml><?xml version="1.0" encoding="utf-8"?>
<sst xmlns="http://schemas.openxmlformats.org/spreadsheetml/2006/main" count="923" uniqueCount="203">
  <si>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</si>
  <si>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</si>
  <si>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</si>
  <si>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</si>
  <si>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</si>
  <si>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</si>
  <si>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</si>
  <si>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</si>
  <si>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</si>
  <si>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</si>
  <si>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</si>
  <si>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</si>
  <si>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</si>
  <si>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</si>
  <si>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</si>
  <si>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</si>
  <si>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</si>
  <si>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</si>
  <si>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</si>
  <si>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</si>
  <si>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</si>
  <si>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</si>
  <si>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</si>
  <si>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</si>
  <si>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</si>
  <si>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</si>
  <si>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</si>
  <si>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</si>
  <si>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</si>
  <si>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</si>
  <si>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</si>
  <si>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</si>
  <si>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</si>
  <si>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</si>
  <si>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</si>
  <si>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</si>
  <si>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</si>
  <si>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</si>
  <si>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</si>
  <si>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</si>
  <si>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</si>
  <si>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</si>
  <si>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</si>
  <si>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</si>
  <si>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</si>
  <si>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</si>
  <si>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</si>
  <si>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</si>
  <si>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</si>
  <si>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</si>
  <si>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</si>
  <si>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</si>
  <si>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</si>
  <si>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</si>
  <si>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</si>
  <si>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</si>
  <si>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</si>
  <si>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</si>
  <si>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</si>
  <si>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</si>
  <si>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</si>
  <si>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</si>
  <si>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</si>
  <si>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</si>
  <si>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</si>
  <si>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</si>
  <si>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</si>
  <si>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</si>
  <si>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</si>
  <si>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</si>
  <si>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</si>
  <si>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</si>
  <si>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</si>
  <si>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</si>
  <si>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</si>
  <si>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</si>
  <si>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</si>
  <si>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</si>
  <si>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</si>
  <si>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</si>
  <si>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</si>
  <si>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</si>
  <si>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</si>
  <si>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</si>
  <si>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</si>
  <si>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</si>
  <si>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</si>
  <si>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</si>
  <si>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</si>
  <si>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</si>
  <si>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</si>
  <si>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</si>
  <si>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</si>
  <si>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</si>
  <si>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</si>
  <si>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</si>
  <si>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</si>
  <si>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</si>
  <si>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</si>
  <si>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</si>
  <si>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</si>
  <si>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</si>
  <si>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</si>
  <si>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</si>
  <si>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</si>
  <si>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</si>
  <si>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</si>
  <si>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</si>
  <si>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</si>
  <si>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</si>
  <si>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</si>
  <si>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</si>
  <si>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</si>
  <si>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</si>
  <si>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</si>
  <si>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</si>
  <si>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</si>
  <si>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</si>
  <si>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</si>
  <si>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</si>
  <si>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</si>
  <si>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</si>
  <si>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</si>
  <si>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</si>
  <si>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</si>
  <si>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</si>
  <si>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</si>
  <si>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</si>
  <si>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</si>
  <si>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</si>
  <si>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</si>
  <si>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</si>
  <si>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</si>
  <si>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</si>
  <si>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</si>
  <si>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</si>
  <si>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</si>
  <si>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</si>
  <si>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</si>
  <si>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</si>
  <si>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</si>
  <si>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</si>
  <si>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</si>
  <si>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</si>
  <si>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</si>
  <si>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</si>
  <si>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</si>
  <si>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</si>
  <si>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</si>
  <si>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</si>
  <si>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</si>
  <si>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</si>
  <si>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</si>
  <si>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</si>
  <si>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</si>
  <si>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</si>
  <si>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</si>
  <si>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</si>
  <si>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</si>
  <si>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</si>
  <si>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</si>
  <si>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</si>
  <si>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</si>
  <si>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</si>
  <si>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</si>
  <si>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</si>
  <si>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</si>
  <si>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</si>
  <si>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</si>
  <si>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</si>
  <si>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</si>
  <si>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</si>
  <si>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</si>
  <si>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</si>
  <si>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</si>
  <si>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</si>
  <si>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</si>
  <si>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</si>
  <si>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</si>
  <si>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</si>
  <si>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</si>
  <si>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</si>
  <si>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</si>
  <si>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</si>
  <si>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</si>
  <si>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</si>
  <si>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</si>
  <si>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</si>
  <si>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</si>
  <si>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</si>
  <si>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</si>
  <si>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</si>
  <si>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</si>
  <si>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</si>
  <si>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</si>
  <si>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</si>
  <si>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</si>
  <si>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</si>
  <si>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</si>
  <si>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</si>
  <si>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</si>
  <si>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</si>
  <si>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01.06.17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</si>
</sst>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201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199</v>
      </c>
      <c r="O3" s="301" t="s">
        <v>200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196</v>
      </c>
      <c r="F4" s="304" t="s">
        <v>33</v>
      </c>
      <c r="G4" s="306" t="s">
        <v>197</v>
      </c>
      <c r="H4" s="299" t="s">
        <v>198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202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191</v>
      </c>
      <c r="L5" s="312"/>
      <c r="M5" s="313"/>
      <c r="N5" s="300"/>
      <c r="O5" s="309"/>
      <c r="P5" s="307"/>
      <c r="Q5" s="310"/>
      <c r="R5" s="314" t="s">
        <v>190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506802.97</v>
      </c>
      <c r="G8" s="149">
        <f aca="true" t="shared" si="0" ref="G8:G40">F8-E8</f>
        <v>-102072.63</v>
      </c>
      <c r="H8" s="150">
        <f>F8/E8*100</f>
        <v>83.23588102397271</v>
      </c>
      <c r="I8" s="151">
        <f>F8-D8</f>
        <v>-791648.1300000001</v>
      </c>
      <c r="J8" s="151">
        <f>F8/D8*100</f>
        <v>39.03134819632406</v>
      </c>
      <c r="K8" s="149">
        <v>374994.96</v>
      </c>
      <c r="L8" s="149">
        <f aca="true" t="shared" si="1" ref="L8:L54">F8-K8</f>
        <v>131808.00999999995</v>
      </c>
      <c r="M8" s="203">
        <f aca="true" t="shared" si="2" ref="M8:M31">F8/K8</f>
        <v>1.3514927507292362</v>
      </c>
      <c r="N8" s="149">
        <f>N9+N15+N18+N19+N23+N17</f>
        <v>104172</v>
      </c>
      <c r="O8" s="149">
        <f>O9+O15+O18+O19+O23+O17</f>
        <v>1707.009999999973</v>
      </c>
      <c r="P8" s="149">
        <f>O8-N8</f>
        <v>-102464.99000000002</v>
      </c>
      <c r="Q8" s="149">
        <f>O8/N8*100</f>
        <v>1.6386457013400655</v>
      </c>
      <c r="R8" s="15">
        <f>R9+R15+R18+R19+R23</f>
        <v>104639</v>
      </c>
      <c r="S8" s="15">
        <f>O8-R8</f>
        <v>-102931.99000000002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282715.87</v>
      </c>
      <c r="G9" s="148">
        <f t="shared" si="0"/>
        <v>-66524.13</v>
      </c>
      <c r="H9" s="155">
        <f>F9/E9*100</f>
        <v>80.95174378650785</v>
      </c>
      <c r="I9" s="156">
        <f>F9-D9</f>
        <v>-483929.13</v>
      </c>
      <c r="J9" s="156">
        <f>F9/D9*100</f>
        <v>36.877025220277964</v>
      </c>
      <c r="K9" s="225">
        <v>199100.92</v>
      </c>
      <c r="L9" s="157">
        <f t="shared" si="1"/>
        <v>83614.94999999998</v>
      </c>
      <c r="M9" s="204">
        <f t="shared" si="2"/>
        <v>1.419962650097247</v>
      </c>
      <c r="N9" s="155">
        <f>E9-травень!E9</f>
        <v>70400</v>
      </c>
      <c r="O9" s="158">
        <f>F9-травень!F9</f>
        <v>1084.289999999979</v>
      </c>
      <c r="P9" s="159">
        <f>O9-N9</f>
        <v>-69315.71000000002</v>
      </c>
      <c r="Q9" s="156">
        <f>O9/N9*100</f>
        <v>1.5401846590908792</v>
      </c>
      <c r="R9" s="99">
        <v>57980</v>
      </c>
      <c r="S9" s="99">
        <f>O9-R9</f>
        <v>-56895.71000000002</v>
      </c>
      <c r="T9" s="99">
        <f>березень!F9+квітень!R9</f>
        <v>223567.36</v>
      </c>
      <c r="U9" s="99">
        <f>F9-T9</f>
        <v>59148.51000000001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258609.01</v>
      </c>
      <c r="G10" s="102">
        <f t="shared" si="0"/>
        <v>-59454.98999999999</v>
      </c>
      <c r="H10" s="29">
        <f aca="true" t="shared" si="3" ref="H10:H39">F10/E10*100</f>
        <v>81.30722433220987</v>
      </c>
      <c r="I10" s="103">
        <f aca="true" t="shared" si="4" ref="I10:I40">F10-D10</f>
        <v>-442707.99</v>
      </c>
      <c r="J10" s="103">
        <f aca="true" t="shared" si="5" ref="J10:J39">F10/D10*100</f>
        <v>36.87476704543024</v>
      </c>
      <c r="K10" s="105">
        <v>174168.33</v>
      </c>
      <c r="L10" s="105">
        <f t="shared" si="1"/>
        <v>84440.68000000002</v>
      </c>
      <c r="M10" s="205">
        <f t="shared" si="2"/>
        <v>1.484822240645013</v>
      </c>
      <c r="N10" s="104">
        <f>E10-травень!E10</f>
        <v>64904</v>
      </c>
      <c r="O10" s="142">
        <f>F10-травень!F10</f>
        <v>1029.8300000000163</v>
      </c>
      <c r="P10" s="105">
        <f aca="true" t="shared" si="6" ref="P10:P40">O10-N10</f>
        <v>-63874.169999999984</v>
      </c>
      <c r="Q10" s="103">
        <f aca="true" t="shared" si="7" ref="Q10:Q27">O10/N10*100</f>
        <v>1.5866972759768525</v>
      </c>
      <c r="R10" s="36"/>
      <c r="S10" s="99">
        <f aca="true" t="shared" si="8" ref="S10:S35">O10-R10</f>
        <v>1029.8300000000163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15819.9</v>
      </c>
      <c r="G11" s="102">
        <f t="shared" si="0"/>
        <v>-6380.1</v>
      </c>
      <c r="H11" s="29">
        <f t="shared" si="3"/>
        <v>71.26081081081081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E11-травень!E11</f>
        <v>3840</v>
      </c>
      <c r="O11" s="142">
        <f>F11-травень!F11</f>
        <v>0</v>
      </c>
      <c r="P11" s="105">
        <f t="shared" si="6"/>
        <v>-3840</v>
      </c>
      <c r="Q11" s="103">
        <f t="shared" si="7"/>
        <v>0</v>
      </c>
      <c r="R11" s="36"/>
      <c r="S11" s="99">
        <f t="shared" si="8"/>
        <v>0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3771.52</v>
      </c>
      <c r="G12" s="102">
        <f t="shared" si="0"/>
        <v>-68.48000000000002</v>
      </c>
      <c r="H12" s="29">
        <f t="shared" si="3"/>
        <v>98.21666666666667</v>
      </c>
      <c r="I12" s="103">
        <f t="shared" si="4"/>
        <v>-4508.48</v>
      </c>
      <c r="J12" s="103">
        <f t="shared" si="5"/>
        <v>45.54975845410628</v>
      </c>
      <c r="K12" s="105">
        <v>4583.23</v>
      </c>
      <c r="L12" s="105">
        <f t="shared" si="1"/>
        <v>-811.7099999999996</v>
      </c>
      <c r="M12" s="205">
        <f t="shared" si="2"/>
        <v>0.8228956434654164</v>
      </c>
      <c r="N12" s="104">
        <f>E12-травень!E12</f>
        <v>900</v>
      </c>
      <c r="O12" s="142">
        <f>F12-травень!F12</f>
        <v>29.259999999999764</v>
      </c>
      <c r="P12" s="105">
        <f t="shared" si="6"/>
        <v>-870.7400000000002</v>
      </c>
      <c r="Q12" s="103">
        <f t="shared" si="7"/>
        <v>3.2511111111110846</v>
      </c>
      <c r="R12" s="36"/>
      <c r="S12" s="99">
        <f t="shared" si="8"/>
        <v>29.259999999999764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3907.79</v>
      </c>
      <c r="G13" s="102">
        <f t="shared" si="0"/>
        <v>-652.21</v>
      </c>
      <c r="H13" s="29">
        <f t="shared" si="3"/>
        <v>85.69714912280702</v>
      </c>
      <c r="I13" s="103">
        <f t="shared" si="4"/>
        <v>-5482.21</v>
      </c>
      <c r="J13" s="103">
        <f t="shared" si="5"/>
        <v>41.61650692225772</v>
      </c>
      <c r="K13" s="105">
        <v>3763.44</v>
      </c>
      <c r="L13" s="105">
        <f t="shared" si="1"/>
        <v>144.3499999999999</v>
      </c>
      <c r="M13" s="205">
        <f t="shared" si="2"/>
        <v>1.0383558659099121</v>
      </c>
      <c r="N13" s="104">
        <f>E13-травень!E13</f>
        <v>660</v>
      </c>
      <c r="O13" s="142">
        <f>F13-травень!F13</f>
        <v>25.199999999999818</v>
      </c>
      <c r="P13" s="105">
        <f t="shared" si="6"/>
        <v>-634.8000000000002</v>
      </c>
      <c r="Q13" s="103">
        <f t="shared" si="7"/>
        <v>3.818181818181791</v>
      </c>
      <c r="R13" s="36"/>
      <c r="S13" s="99">
        <f t="shared" si="8"/>
        <v>25.199999999999818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607.65</v>
      </c>
      <c r="G14" s="102">
        <f t="shared" si="0"/>
        <v>31.649999999999977</v>
      </c>
      <c r="H14" s="29">
        <f t="shared" si="3"/>
        <v>105.49479166666667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E14-травень!E14</f>
        <v>96</v>
      </c>
      <c r="O14" s="142">
        <f>F14-травень!F14</f>
        <v>0</v>
      </c>
      <c r="P14" s="105">
        <f t="shared" si="6"/>
        <v>-96</v>
      </c>
      <c r="Q14" s="103">
        <f t="shared" si="7"/>
        <v>0</v>
      </c>
      <c r="R14" s="36"/>
      <c r="S14" s="99">
        <f t="shared" si="8"/>
        <v>0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150</v>
      </c>
      <c r="S15" s="99">
        <f t="shared" si="8"/>
        <v>-150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E17-травень!E17</f>
        <v>0</v>
      </c>
      <c r="O17" s="166">
        <f>F17-травень!F17</f>
        <v>0</v>
      </c>
      <c r="P17" s="165">
        <f t="shared" si="6"/>
        <v>0</v>
      </c>
      <c r="Q17" s="156"/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45209.01</v>
      </c>
      <c r="G19" s="160">
        <f t="shared" si="0"/>
        <v>-14390.989999999998</v>
      </c>
      <c r="H19" s="162">
        <f t="shared" si="3"/>
        <v>75.85404362416108</v>
      </c>
      <c r="I19" s="163">
        <f t="shared" si="4"/>
        <v>-84790.98999999999</v>
      </c>
      <c r="J19" s="163">
        <f t="shared" si="5"/>
        <v>34.776161538461544</v>
      </c>
      <c r="K19" s="159">
        <v>35230.56</v>
      </c>
      <c r="L19" s="165">
        <f t="shared" si="1"/>
        <v>9978.450000000004</v>
      </c>
      <c r="M19" s="211">
        <f t="shared" si="2"/>
        <v>1.2832327956183496</v>
      </c>
      <c r="N19" s="162">
        <f>E19-травень!E19</f>
        <v>11200</v>
      </c>
      <c r="O19" s="166">
        <f>F19-травень!F19</f>
        <v>213.92000000000553</v>
      </c>
      <c r="P19" s="165">
        <f t="shared" si="6"/>
        <v>-10986.079999999994</v>
      </c>
      <c r="Q19" s="163">
        <f t="shared" si="7"/>
        <v>1.9100000000000494</v>
      </c>
      <c r="R19" s="36">
        <v>9450</v>
      </c>
      <c r="S19" s="99">
        <f t="shared" si="8"/>
        <v>-9236.079999999994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26162.13</v>
      </c>
      <c r="G20" s="250">
        <f t="shared" si="0"/>
        <v>-9737.869999999999</v>
      </c>
      <c r="H20" s="193">
        <f t="shared" si="3"/>
        <v>72.8750139275766</v>
      </c>
      <c r="I20" s="251">
        <f t="shared" si="4"/>
        <v>-50337.869999999995</v>
      </c>
      <c r="J20" s="251">
        <f t="shared" si="5"/>
        <v>34.19886274509804</v>
      </c>
      <c r="K20" s="252">
        <v>35230.56</v>
      </c>
      <c r="L20" s="164">
        <f t="shared" si="1"/>
        <v>-9068.429999999997</v>
      </c>
      <c r="M20" s="253">
        <f t="shared" si="2"/>
        <v>0.7425976197937246</v>
      </c>
      <c r="N20" s="193">
        <f>E20-травень!E20</f>
        <v>6250</v>
      </c>
      <c r="O20" s="177">
        <f>F20-травень!F20</f>
        <v>33.63999999999942</v>
      </c>
      <c r="P20" s="164">
        <f t="shared" si="6"/>
        <v>-6216.360000000001</v>
      </c>
      <c r="Q20" s="251">
        <f t="shared" si="7"/>
        <v>0.5382399999999907</v>
      </c>
      <c r="R20" s="106">
        <v>4450</v>
      </c>
      <c r="S20" s="99">
        <f t="shared" si="8"/>
        <v>-4416.360000000001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4094.82</v>
      </c>
      <c r="G21" s="250">
        <f t="shared" si="0"/>
        <v>-805.1799999999998</v>
      </c>
      <c r="H21" s="193"/>
      <c r="I21" s="251">
        <f t="shared" si="4"/>
        <v>-6605.18</v>
      </c>
      <c r="J21" s="251">
        <f t="shared" si="5"/>
        <v>38.26934579439252</v>
      </c>
      <c r="K21" s="252">
        <v>0</v>
      </c>
      <c r="L21" s="164">
        <f t="shared" si="1"/>
        <v>4094.82</v>
      </c>
      <c r="M21" s="253"/>
      <c r="N21" s="193">
        <f>E21-травень!E21</f>
        <v>950</v>
      </c>
      <c r="O21" s="177">
        <f>F21-травень!F21</f>
        <v>1.1300000000001091</v>
      </c>
      <c r="P21" s="164">
        <f t="shared" si="6"/>
        <v>-948.8699999999999</v>
      </c>
      <c r="Q21" s="251"/>
      <c r="R21" s="106">
        <v>1000</v>
      </c>
      <c r="S21" s="99">
        <f t="shared" si="8"/>
        <v>-998.8699999999999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14952.06</v>
      </c>
      <c r="G22" s="250">
        <f t="shared" si="0"/>
        <v>-3847.9400000000005</v>
      </c>
      <c r="H22" s="193"/>
      <c r="I22" s="251">
        <f t="shared" si="4"/>
        <v>-27847.940000000002</v>
      </c>
      <c r="J22" s="251">
        <f t="shared" si="5"/>
        <v>34.934719626168224</v>
      </c>
      <c r="K22" s="252">
        <v>0</v>
      </c>
      <c r="L22" s="164">
        <f t="shared" si="1"/>
        <v>14952.06</v>
      </c>
      <c r="M22" s="253"/>
      <c r="N22" s="193">
        <f>E22-травень!E22</f>
        <v>4000</v>
      </c>
      <c r="O22" s="177">
        <f>F22-травень!F22</f>
        <v>179.13999999999942</v>
      </c>
      <c r="P22" s="164">
        <f t="shared" si="6"/>
        <v>-3820.8600000000006</v>
      </c>
      <c r="Q22" s="251"/>
      <c r="R22" s="106">
        <v>4000</v>
      </c>
      <c r="S22" s="99">
        <f t="shared" si="8"/>
        <v>-3820.8600000000006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178714.58</v>
      </c>
      <c r="G23" s="148">
        <f t="shared" si="0"/>
        <v>-20910.01999999999</v>
      </c>
      <c r="H23" s="155">
        <f t="shared" si="3"/>
        <v>89.525329042613</v>
      </c>
      <c r="I23" s="156">
        <f t="shared" si="4"/>
        <v>-222415.52</v>
      </c>
      <c r="J23" s="156">
        <f t="shared" si="5"/>
        <v>44.552772280115605</v>
      </c>
      <c r="K23" s="156">
        <v>140248.27</v>
      </c>
      <c r="L23" s="159">
        <f t="shared" si="1"/>
        <v>38466.31</v>
      </c>
      <c r="M23" s="207">
        <f t="shared" si="2"/>
        <v>1.2742729732067284</v>
      </c>
      <c r="N23" s="155">
        <f>E23-травень!E23</f>
        <v>22572</v>
      </c>
      <c r="O23" s="158">
        <f>F23-травень!F23</f>
        <v>408.79999999998836</v>
      </c>
      <c r="P23" s="159">
        <f t="shared" si="6"/>
        <v>-22163.20000000001</v>
      </c>
      <c r="Q23" s="156">
        <f t="shared" si="7"/>
        <v>1.8110933900407067</v>
      </c>
      <c r="R23" s="280">
        <f>R24+R32+R33+R34+R35</f>
        <v>37059</v>
      </c>
      <c r="S23" s="99">
        <f t="shared" si="8"/>
        <v>-36650.20000000001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81846.5</v>
      </c>
      <c r="G24" s="148">
        <f t="shared" si="0"/>
        <v>-16826.399999999994</v>
      </c>
      <c r="H24" s="155">
        <f t="shared" si="3"/>
        <v>82.9472935324694</v>
      </c>
      <c r="I24" s="156">
        <f t="shared" si="4"/>
        <v>-124774.5</v>
      </c>
      <c r="J24" s="156">
        <f t="shared" si="5"/>
        <v>39.611898112970124</v>
      </c>
      <c r="K24" s="156">
        <v>71540.14</v>
      </c>
      <c r="L24" s="159">
        <f t="shared" si="1"/>
        <v>10306.36</v>
      </c>
      <c r="M24" s="207">
        <f t="shared" si="2"/>
        <v>1.1440640177668089</v>
      </c>
      <c r="N24" s="155">
        <f>E24-травень!E24</f>
        <v>15965</v>
      </c>
      <c r="O24" s="158">
        <f>F24-травень!F24</f>
        <v>114.36999999999534</v>
      </c>
      <c r="P24" s="159">
        <f t="shared" si="6"/>
        <v>-15850.630000000005</v>
      </c>
      <c r="Q24" s="156">
        <f t="shared" si="7"/>
        <v>0.716379580331947</v>
      </c>
      <c r="R24" s="106">
        <f>R25+R28+R29</f>
        <v>14352</v>
      </c>
      <c r="S24" s="99">
        <f t="shared" si="8"/>
        <v>-14237.630000000005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10146.99</v>
      </c>
      <c r="G25" s="169">
        <f t="shared" si="0"/>
        <v>-242.11000000000058</v>
      </c>
      <c r="H25" s="171">
        <f t="shared" si="3"/>
        <v>97.66957676795872</v>
      </c>
      <c r="I25" s="172">
        <f t="shared" si="4"/>
        <v>-12662.01</v>
      </c>
      <c r="J25" s="172">
        <f t="shared" si="5"/>
        <v>44.48678153360516</v>
      </c>
      <c r="K25" s="173">
        <v>8640.15</v>
      </c>
      <c r="L25" s="164">
        <f t="shared" si="1"/>
        <v>1506.8400000000001</v>
      </c>
      <c r="M25" s="213">
        <f t="shared" si="2"/>
        <v>1.1743997500043402</v>
      </c>
      <c r="N25" s="193">
        <f>E25-травень!E25</f>
        <v>805</v>
      </c>
      <c r="O25" s="177">
        <f>F25-травень!F25</f>
        <v>10.949999999998909</v>
      </c>
      <c r="P25" s="175">
        <f t="shared" si="6"/>
        <v>-794.0500000000011</v>
      </c>
      <c r="Q25" s="172">
        <f t="shared" si="7"/>
        <v>1.3602484472048335</v>
      </c>
      <c r="R25" s="106">
        <v>347</v>
      </c>
      <c r="S25" s="99">
        <f t="shared" si="8"/>
        <v>-336.0500000000011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710</v>
      </c>
      <c r="F26" s="161">
        <v>197.27</v>
      </c>
      <c r="G26" s="196">
        <f t="shared" si="0"/>
        <v>-512.73</v>
      </c>
      <c r="H26" s="197">
        <f t="shared" si="3"/>
        <v>27.78450704225352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E26-травень!E26</f>
        <v>105</v>
      </c>
      <c r="O26" s="234">
        <f>F26-травень!F26</f>
        <v>0</v>
      </c>
      <c r="P26" s="198">
        <f t="shared" si="6"/>
        <v>-105</v>
      </c>
      <c r="Q26" s="198">
        <f t="shared" si="7"/>
        <v>0</v>
      </c>
      <c r="R26" s="106"/>
      <c r="S26" s="99">
        <f t="shared" si="8"/>
        <v>0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9679.1</v>
      </c>
      <c r="F27" s="161">
        <v>9949.72</v>
      </c>
      <c r="G27" s="196">
        <f t="shared" si="0"/>
        <v>270.619999999999</v>
      </c>
      <c r="H27" s="197">
        <f t="shared" si="3"/>
        <v>102.79592110836751</v>
      </c>
      <c r="I27" s="198">
        <f t="shared" si="4"/>
        <v>-11036.980000000001</v>
      </c>
      <c r="J27" s="198">
        <f t="shared" si="5"/>
        <v>47.409645156217984</v>
      </c>
      <c r="K27" s="198">
        <v>8376.5</v>
      </c>
      <c r="L27" s="198">
        <f t="shared" si="1"/>
        <v>1573.2199999999993</v>
      </c>
      <c r="M27" s="226">
        <f t="shared" si="2"/>
        <v>1.1878135259356533</v>
      </c>
      <c r="N27" s="234">
        <f>E27-травень!E27</f>
        <v>700</v>
      </c>
      <c r="O27" s="234">
        <f>F27-травень!F27</f>
        <v>10.949999999998909</v>
      </c>
      <c r="P27" s="198">
        <f t="shared" si="6"/>
        <v>-689.0500000000011</v>
      </c>
      <c r="Q27" s="198">
        <f t="shared" si="7"/>
        <v>1.5642857142855584</v>
      </c>
      <c r="R27" s="106"/>
      <c r="S27" s="99">
        <f t="shared" si="8"/>
        <v>10.949999999998909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-70.48</v>
      </c>
      <c r="G28" s="169">
        <f t="shared" si="0"/>
        <v>-204.28000000000003</v>
      </c>
      <c r="H28" s="171">
        <f t="shared" si="3"/>
        <v>-52.67563527653214</v>
      </c>
      <c r="I28" s="172">
        <f t="shared" si="4"/>
        <v>-890.48</v>
      </c>
      <c r="J28" s="172">
        <f t="shared" si="5"/>
        <v>-8.595121951219513</v>
      </c>
      <c r="K28" s="172">
        <v>420.08</v>
      </c>
      <c r="L28" s="172">
        <f t="shared" si="1"/>
        <v>-490.56</v>
      </c>
      <c r="M28" s="210">
        <f t="shared" si="2"/>
        <v>-0.1677775661778709</v>
      </c>
      <c r="N28" s="193">
        <f>E28-травень!E28</f>
        <v>5</v>
      </c>
      <c r="O28" s="177">
        <f>F28-травень!F28</f>
        <v>-25.000000000000007</v>
      </c>
      <c r="P28" s="175">
        <f t="shared" si="6"/>
        <v>-30.000000000000007</v>
      </c>
      <c r="Q28" s="172">
        <f>O28/N28*100</f>
        <v>-500.00000000000017</v>
      </c>
      <c r="R28" s="106">
        <v>5</v>
      </c>
      <c r="S28" s="99">
        <f t="shared" si="8"/>
        <v>-30.000000000000007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71769.99</v>
      </c>
      <c r="G29" s="169">
        <f t="shared" si="0"/>
        <v>-16380.009999999995</v>
      </c>
      <c r="H29" s="171">
        <f t="shared" si="3"/>
        <v>81.41802609188883</v>
      </c>
      <c r="I29" s="172">
        <f t="shared" si="4"/>
        <v>-111222.01</v>
      </c>
      <c r="J29" s="172">
        <f t="shared" si="5"/>
        <v>39.220288318615026</v>
      </c>
      <c r="K29" s="173">
        <v>62479.91</v>
      </c>
      <c r="L29" s="173">
        <f t="shared" si="1"/>
        <v>9290.080000000002</v>
      </c>
      <c r="M29" s="209">
        <f t="shared" si="2"/>
        <v>1.1486890746161447</v>
      </c>
      <c r="N29" s="193">
        <f>E29-травень!E29</f>
        <v>15155</v>
      </c>
      <c r="O29" s="177">
        <f>F29-травень!F29</f>
        <v>128.41999999999825</v>
      </c>
      <c r="P29" s="175">
        <f t="shared" si="6"/>
        <v>-15026.580000000002</v>
      </c>
      <c r="Q29" s="172">
        <f>O29/N29*100</f>
        <v>0.8473771032662373</v>
      </c>
      <c r="R29" s="106">
        <v>14000</v>
      </c>
      <c r="S29" s="99">
        <f t="shared" si="8"/>
        <v>-13871.580000000002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26780</v>
      </c>
      <c r="F30" s="161">
        <v>24173.41</v>
      </c>
      <c r="G30" s="196">
        <f t="shared" si="0"/>
        <v>-2606.59</v>
      </c>
      <c r="H30" s="197">
        <f t="shared" si="3"/>
        <v>90.26665421956685</v>
      </c>
      <c r="I30" s="198">
        <f t="shared" si="4"/>
        <v>-33359.59</v>
      </c>
      <c r="J30" s="198">
        <f t="shared" si="5"/>
        <v>42.01659916917247</v>
      </c>
      <c r="K30" s="198">
        <v>19348.56</v>
      </c>
      <c r="L30" s="198">
        <f t="shared" si="1"/>
        <v>4824.8499999999985</v>
      </c>
      <c r="M30" s="226">
        <f t="shared" si="2"/>
        <v>1.249364810611229</v>
      </c>
      <c r="N30" s="234">
        <f>E30-травень!E30</f>
        <v>4700</v>
      </c>
      <c r="O30" s="234">
        <f>F30-травень!F30</f>
        <v>22.169999999998254</v>
      </c>
      <c r="P30" s="198">
        <f t="shared" si="6"/>
        <v>-4677.830000000002</v>
      </c>
      <c r="Q30" s="198">
        <f>O30/N30*100</f>
        <v>0.47170212765953734</v>
      </c>
      <c r="R30" s="106"/>
      <c r="S30" s="99">
        <f t="shared" si="8"/>
        <v>22.169999999998254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61370</v>
      </c>
      <c r="F31" s="161">
        <v>47596.58</v>
      </c>
      <c r="G31" s="196">
        <f t="shared" si="0"/>
        <v>-13773.419999999998</v>
      </c>
      <c r="H31" s="197">
        <f t="shared" si="3"/>
        <v>77.55675411438814</v>
      </c>
      <c r="I31" s="198">
        <f t="shared" si="4"/>
        <v>-77862.42</v>
      </c>
      <c r="J31" s="198">
        <f t="shared" si="5"/>
        <v>37.93795582620617</v>
      </c>
      <c r="K31" s="198">
        <v>43131.35</v>
      </c>
      <c r="L31" s="198">
        <f t="shared" si="1"/>
        <v>4465.230000000003</v>
      </c>
      <c r="M31" s="226">
        <f t="shared" si="2"/>
        <v>1.1035263213416693</v>
      </c>
      <c r="N31" s="234">
        <f>E31-травень!E31</f>
        <v>10455</v>
      </c>
      <c r="O31" s="234">
        <f>F31-травень!F31</f>
        <v>106.25</v>
      </c>
      <c r="P31" s="198">
        <f t="shared" si="6"/>
        <v>-10348.75</v>
      </c>
      <c r="Q31" s="198">
        <f>O31/N31*100</f>
        <v>1.0162601626016259</v>
      </c>
      <c r="R31" s="106"/>
      <c r="S31" s="99">
        <f t="shared" si="8"/>
        <v>106.25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75.23</v>
      </c>
      <c r="G33" s="148">
        <f t="shared" si="0"/>
        <v>29.230000000000004</v>
      </c>
      <c r="H33" s="155">
        <f t="shared" si="3"/>
        <v>163.54347826086956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E33-травень!E33</f>
        <v>7</v>
      </c>
      <c r="O33" s="158">
        <f>F33-травень!F33</f>
        <v>0</v>
      </c>
      <c r="P33" s="159">
        <f t="shared" si="6"/>
        <v>-7</v>
      </c>
      <c r="Q33" s="156">
        <f>O33/N33*100</f>
        <v>0</v>
      </c>
      <c r="R33" s="106">
        <v>7</v>
      </c>
      <c r="S33" s="99">
        <f t="shared" si="8"/>
        <v>-7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-26.19</v>
      </c>
      <c r="G34" s="148">
        <f t="shared" si="0"/>
        <v>-26.19</v>
      </c>
      <c r="H34" s="155"/>
      <c r="I34" s="156">
        <f t="shared" si="4"/>
        <v>-26.19</v>
      </c>
      <c r="J34" s="156"/>
      <c r="K34" s="156">
        <v>-109.72</v>
      </c>
      <c r="L34" s="156">
        <f t="shared" si="1"/>
        <v>83.53</v>
      </c>
      <c r="M34" s="208">
        <f>F34/K34</f>
        <v>0.23869850528618303</v>
      </c>
      <c r="N34" s="155">
        <f>E34-травень!E34</f>
        <v>0</v>
      </c>
      <c r="O34" s="158">
        <f>F34-травень!F34</f>
        <v>0.5799999999999983</v>
      </c>
      <c r="P34" s="159">
        <f t="shared" si="6"/>
        <v>0.5799999999999983</v>
      </c>
      <c r="Q34" s="156"/>
      <c r="R34" s="106"/>
      <c r="S34" s="99">
        <f t="shared" si="8"/>
        <v>0.5799999999999983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96818.84</v>
      </c>
      <c r="G35" s="160">
        <f t="shared" si="0"/>
        <v>-4086.8600000000006</v>
      </c>
      <c r="H35" s="162">
        <f t="shared" si="3"/>
        <v>95.94982245799791</v>
      </c>
      <c r="I35" s="163">
        <f t="shared" si="4"/>
        <v>-97575.26000000001</v>
      </c>
      <c r="J35" s="163">
        <f t="shared" si="5"/>
        <v>49.80544162605758</v>
      </c>
      <c r="K35" s="176">
        <v>68766.7</v>
      </c>
      <c r="L35" s="176">
        <f>F35-K35</f>
        <v>28052.14</v>
      </c>
      <c r="M35" s="224">
        <f>F35/K35</f>
        <v>1.407932036872498</v>
      </c>
      <c r="N35" s="155">
        <f>E35-травень!E35</f>
        <v>6600</v>
      </c>
      <c r="O35" s="158">
        <f>F35-травень!F35</f>
        <v>293.84999999999127</v>
      </c>
      <c r="P35" s="165">
        <f t="shared" si="6"/>
        <v>-6306.150000000009</v>
      </c>
      <c r="Q35" s="163">
        <f>O35/N35*100</f>
        <v>4.452272727272595</v>
      </c>
      <c r="R35" s="106">
        <v>22700</v>
      </c>
      <c r="S35" s="99">
        <f t="shared" si="8"/>
        <v>-22406.15000000001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19343.92</v>
      </c>
      <c r="G37" s="102">
        <f t="shared" si="0"/>
        <v>-676.0800000000017</v>
      </c>
      <c r="H37" s="104">
        <f t="shared" si="3"/>
        <v>96.62297702297703</v>
      </c>
      <c r="I37" s="103">
        <f t="shared" si="4"/>
        <v>-21656.08</v>
      </c>
      <c r="J37" s="103">
        <f t="shared" si="5"/>
        <v>47.180292682926826</v>
      </c>
      <c r="K37" s="126">
        <v>17552.06</v>
      </c>
      <c r="L37" s="126">
        <f t="shared" si="1"/>
        <v>1791.859999999997</v>
      </c>
      <c r="M37" s="214">
        <f t="shared" si="9"/>
        <v>1.1020883018859322</v>
      </c>
      <c r="N37" s="104">
        <f>E37-травень!E37</f>
        <v>1100</v>
      </c>
      <c r="O37" s="142">
        <f>F37-травень!F37</f>
        <v>82.22999999999956</v>
      </c>
      <c r="P37" s="105">
        <f t="shared" si="6"/>
        <v>-1017.7700000000004</v>
      </c>
      <c r="Q37" s="103">
        <f>O37/N37*100</f>
        <v>7.475454545454506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77451.81</v>
      </c>
      <c r="G38" s="102">
        <f t="shared" si="0"/>
        <v>-3408.1900000000023</v>
      </c>
      <c r="H38" s="104">
        <f t="shared" si="3"/>
        <v>95.78507296561959</v>
      </c>
      <c r="I38" s="103">
        <f t="shared" si="4"/>
        <v>-75887.29000000001</v>
      </c>
      <c r="J38" s="103">
        <f t="shared" si="5"/>
        <v>50.51015037912704</v>
      </c>
      <c r="K38" s="126">
        <v>51200.46</v>
      </c>
      <c r="L38" s="126">
        <f t="shared" si="1"/>
        <v>26251.35</v>
      </c>
      <c r="M38" s="214">
        <f t="shared" si="9"/>
        <v>1.512717073245045</v>
      </c>
      <c r="N38" s="104">
        <f>E38-травень!E38</f>
        <v>5500</v>
      </c>
      <c r="O38" s="142">
        <f>F38-травень!F38</f>
        <v>211.61999999999534</v>
      </c>
      <c r="P38" s="105">
        <f t="shared" si="6"/>
        <v>-5288.380000000005</v>
      </c>
      <c r="Q38" s="103">
        <f>O38/N38*100</f>
        <v>3.847636363636279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E39-травень!E39</f>
        <v>0</v>
      </c>
      <c r="O39" s="142">
        <f>F39-травень!F39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30415.39</v>
      </c>
      <c r="G41" s="149">
        <f>G42+G43+G44+G45+G46+G48+G50+G51+G52+G53+G54+G59+G60+G64</f>
        <v>545.5299999999996</v>
      </c>
      <c r="H41" s="150">
        <f>F41/E41*100</f>
        <v>101.66896754590337</v>
      </c>
      <c r="I41" s="151">
        <f>F41-D41</f>
        <v>-28609.61</v>
      </c>
      <c r="J41" s="151">
        <f>F41/D41*100</f>
        <v>51.52967386700551</v>
      </c>
      <c r="K41" s="149">
        <v>22840.42</v>
      </c>
      <c r="L41" s="149">
        <f t="shared" si="1"/>
        <v>7574.970000000001</v>
      </c>
      <c r="M41" s="203">
        <f t="shared" si="9"/>
        <v>1.331647579160103</v>
      </c>
      <c r="N41" s="149">
        <f>N42+N43+N44+N45+N46+N48+N50+N51+N52+N53+N54+N59+N60+N64+N47</f>
        <v>5118.8</v>
      </c>
      <c r="O41" s="149">
        <f>O42+O43+O44+O45+O46+O48+O50+O51+O52+O53+O54+O59+O60+O64+O47+O40</f>
        <v>3060.2799999999993</v>
      </c>
      <c r="P41" s="149">
        <f>P42+P43+P44+P45+P46+P48+P50+P51+P52+P53+P54+P59+P60+P64</f>
        <v>-2051.720000000001</v>
      </c>
      <c r="Q41" s="149">
        <f>O41/N41*100</f>
        <v>59.785105884191594</v>
      </c>
      <c r="R41" s="15">
        <f>R42+R43+R44+R45+R46+R47+R48+R50+R51+R52+R53+R54+R59+R60+R64</f>
        <v>5273.700000000001</v>
      </c>
      <c r="S41" s="15">
        <f>O41-R41</f>
        <v>-2213.4200000000014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420</v>
      </c>
      <c r="S42" s="36">
        <f>O42-R42</f>
        <v>-420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10098.73</v>
      </c>
      <c r="L43" s="163">
        <f t="shared" si="1"/>
        <v>3254.91</v>
      </c>
      <c r="M43" s="216"/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2672.3</v>
      </c>
      <c r="S43" s="36">
        <f aca="true" t="shared" si="15" ref="S43:S66">O43-R43</f>
        <v>202.17999999999938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92.8</v>
      </c>
      <c r="G44" s="160">
        <f t="shared" si="12"/>
        <v>70.8</v>
      </c>
      <c r="H44" s="162">
        <f>F44/E44*100</f>
        <v>421.81818181818176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E44-травень!E44</f>
        <v>1</v>
      </c>
      <c r="O44" s="166">
        <f>F44-травень!F44</f>
        <v>0</v>
      </c>
      <c r="P44" s="165">
        <f t="shared" si="14"/>
        <v>-1</v>
      </c>
      <c r="Q44" s="163">
        <f t="shared" si="11"/>
        <v>0</v>
      </c>
      <c r="R44" s="36">
        <v>1</v>
      </c>
      <c r="S44" s="36">
        <f t="shared" si="15"/>
        <v>-1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446.51</v>
      </c>
      <c r="G46" s="160">
        <f t="shared" si="12"/>
        <v>318.51</v>
      </c>
      <c r="H46" s="162">
        <f t="shared" si="10"/>
        <v>348.8359375</v>
      </c>
      <c r="I46" s="163">
        <f t="shared" si="13"/>
        <v>186.51</v>
      </c>
      <c r="J46" s="163">
        <f t="shared" si="16"/>
        <v>171.73461538461538</v>
      </c>
      <c r="K46" s="163">
        <v>50.4</v>
      </c>
      <c r="L46" s="163">
        <f t="shared" si="1"/>
        <v>396.11</v>
      </c>
      <c r="M46" s="216">
        <f t="shared" si="17"/>
        <v>8.859325396825398</v>
      </c>
      <c r="N46" s="162">
        <f>E46-травень!E46</f>
        <v>22</v>
      </c>
      <c r="O46" s="166">
        <f>F46-травень!F46</f>
        <v>4.25</v>
      </c>
      <c r="P46" s="165">
        <f t="shared" si="14"/>
        <v>-17.75</v>
      </c>
      <c r="Q46" s="163">
        <f t="shared" si="11"/>
        <v>19.318181818181817</v>
      </c>
      <c r="R46" s="36">
        <v>22</v>
      </c>
      <c r="S46" s="36">
        <f t="shared" si="15"/>
        <v>-17.75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1.01</v>
      </c>
      <c r="G47" s="160">
        <f t="shared" si="12"/>
        <v>-46.59</v>
      </c>
      <c r="H47" s="162">
        <f t="shared" si="10"/>
        <v>2.1218487394957983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E47-травень!E47</f>
        <v>6.800000000000004</v>
      </c>
      <c r="O47" s="166">
        <f>F47-травень!F47</f>
        <v>0</v>
      </c>
      <c r="P47" s="165">
        <f t="shared" si="14"/>
        <v>-6.800000000000004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509.91</v>
      </c>
      <c r="G48" s="160">
        <f t="shared" si="12"/>
        <v>49.910000000000025</v>
      </c>
      <c r="H48" s="162">
        <f t="shared" si="10"/>
        <v>110.85000000000001</v>
      </c>
      <c r="I48" s="163">
        <f t="shared" si="13"/>
        <v>-220.08999999999997</v>
      </c>
      <c r="J48" s="163">
        <f t="shared" si="16"/>
        <v>69.85068493150686</v>
      </c>
      <c r="K48" s="163">
        <v>76.33</v>
      </c>
      <c r="L48" s="163">
        <f t="shared" si="1"/>
        <v>433.58000000000004</v>
      </c>
      <c r="M48" s="216"/>
      <c r="N48" s="162">
        <f>E48-травень!E48</f>
        <v>60</v>
      </c>
      <c r="O48" s="166">
        <f>F48-травень!F48</f>
        <v>4.78000000000003</v>
      </c>
      <c r="P48" s="165">
        <f t="shared" si="14"/>
        <v>-55.21999999999997</v>
      </c>
      <c r="Q48" s="163">
        <f t="shared" si="11"/>
        <v>7.9666666666667165</v>
      </c>
      <c r="R48" s="36">
        <v>60</v>
      </c>
      <c r="S48" s="36">
        <f t="shared" si="15"/>
        <v>-55.21999999999997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6386.86</v>
      </c>
      <c r="G50" s="160">
        <f t="shared" si="12"/>
        <v>346.8599999999997</v>
      </c>
      <c r="H50" s="162">
        <f t="shared" si="10"/>
        <v>105.74271523178807</v>
      </c>
      <c r="I50" s="163">
        <f t="shared" si="13"/>
        <v>-4613.14</v>
      </c>
      <c r="J50" s="163">
        <f t="shared" si="16"/>
        <v>58.062363636363635</v>
      </c>
      <c r="K50" s="163">
        <v>4057.41</v>
      </c>
      <c r="L50" s="163">
        <f t="shared" si="1"/>
        <v>2329.45</v>
      </c>
      <c r="M50" s="216">
        <f t="shared" si="17"/>
        <v>1.5741224081372107</v>
      </c>
      <c r="N50" s="162">
        <f>E50-травень!E50</f>
        <v>900</v>
      </c>
      <c r="O50" s="166">
        <f>F50-травень!F50</f>
        <v>136.58999999999924</v>
      </c>
      <c r="P50" s="165">
        <f t="shared" si="14"/>
        <v>-763.4100000000008</v>
      </c>
      <c r="Q50" s="163">
        <f t="shared" si="11"/>
        <v>15.176666666666582</v>
      </c>
      <c r="R50" s="36">
        <v>1000</v>
      </c>
      <c r="S50" s="36">
        <f t="shared" si="15"/>
        <v>-863.4100000000008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218.11</v>
      </c>
      <c r="G51" s="160">
        <f t="shared" si="12"/>
        <v>68.11000000000001</v>
      </c>
      <c r="H51" s="162">
        <f t="shared" si="10"/>
        <v>145.4066666666667</v>
      </c>
      <c r="I51" s="163">
        <f t="shared" si="13"/>
        <v>-91.88999999999999</v>
      </c>
      <c r="J51" s="163">
        <f t="shared" si="16"/>
        <v>70.35806451612903</v>
      </c>
      <c r="K51" s="163">
        <v>33.93</v>
      </c>
      <c r="L51" s="163">
        <f t="shared" si="1"/>
        <v>184.18</v>
      </c>
      <c r="M51" s="216"/>
      <c r="N51" s="162">
        <f>E51-травень!E51</f>
        <v>25</v>
      </c>
      <c r="O51" s="166">
        <f>F51-травень!F51</f>
        <v>1.7600000000000193</v>
      </c>
      <c r="P51" s="165">
        <f t="shared" si="14"/>
        <v>-23.23999999999998</v>
      </c>
      <c r="Q51" s="163">
        <f t="shared" si="11"/>
        <v>7.040000000000076</v>
      </c>
      <c r="R51" s="36">
        <v>25</v>
      </c>
      <c r="S51" s="36">
        <f t="shared" si="15"/>
        <v>-23.23999999999998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12.32</v>
      </c>
      <c r="G52" s="160">
        <f t="shared" si="12"/>
        <v>1.3200000000000003</v>
      </c>
      <c r="H52" s="162">
        <f t="shared" si="10"/>
        <v>112.00000000000001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E52-травень!E52</f>
        <v>4</v>
      </c>
      <c r="O52" s="166">
        <f>F52-травень!F52</f>
        <v>0</v>
      </c>
      <c r="P52" s="165">
        <f t="shared" si="14"/>
        <v>-4</v>
      </c>
      <c r="Q52" s="163">
        <f t="shared" si="11"/>
        <v>0</v>
      </c>
      <c r="R52" s="36">
        <v>3</v>
      </c>
      <c r="S52" s="36">
        <f t="shared" si="15"/>
        <v>-3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2721.32</v>
      </c>
      <c r="G53" s="160">
        <f t="shared" si="12"/>
        <v>-923.6799999999998</v>
      </c>
      <c r="H53" s="162">
        <f t="shared" si="10"/>
        <v>74.65898491083676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E53-травень!E53</f>
        <v>605</v>
      </c>
      <c r="O53" s="166">
        <f>F53-травень!F53</f>
        <v>0</v>
      </c>
      <c r="P53" s="165">
        <f t="shared" si="14"/>
        <v>-605</v>
      </c>
      <c r="Q53" s="163">
        <f t="shared" si="11"/>
        <v>0</v>
      </c>
      <c r="R53" s="36">
        <v>533.6</v>
      </c>
      <c r="S53" s="36">
        <f t="shared" si="15"/>
        <v>-533.6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341.45</v>
      </c>
      <c r="G54" s="160">
        <f t="shared" si="12"/>
        <v>-228.55</v>
      </c>
      <c r="H54" s="162">
        <f t="shared" si="10"/>
        <v>59.90350877192982</v>
      </c>
      <c r="I54" s="163">
        <f t="shared" si="13"/>
        <v>-858.55</v>
      </c>
      <c r="J54" s="163">
        <f t="shared" si="16"/>
        <v>28.454166666666662</v>
      </c>
      <c r="K54" s="163">
        <v>2573.46</v>
      </c>
      <c r="L54" s="163">
        <f t="shared" si="1"/>
        <v>-2232.01</v>
      </c>
      <c r="M54" s="216">
        <f t="shared" si="17"/>
        <v>0.13268129288972821</v>
      </c>
      <c r="N54" s="162">
        <f>E54-травень!E54</f>
        <v>95</v>
      </c>
      <c r="O54" s="166">
        <f>F54-травень!F54</f>
        <v>7.930000000000007</v>
      </c>
      <c r="P54" s="165">
        <f t="shared" si="14"/>
        <v>-87.07</v>
      </c>
      <c r="Q54" s="163">
        <f t="shared" si="11"/>
        <v>8.34736842105264</v>
      </c>
      <c r="R54" s="36">
        <v>70</v>
      </c>
      <c r="S54" s="36">
        <f t="shared" si="15"/>
        <v>-62.06999999999999</v>
      </c>
      <c r="T54" s="36"/>
      <c r="U54" s="93"/>
    </row>
    <row r="55" spans="1:21" s="6" customFormat="1" ht="15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297.86</v>
      </c>
      <c r="G55" s="33">
        <f t="shared" si="12"/>
        <v>-182.14</v>
      </c>
      <c r="H55" s="29">
        <f t="shared" si="10"/>
        <v>62.05416666666667</v>
      </c>
      <c r="I55" s="103">
        <f t="shared" si="13"/>
        <v>-700.14</v>
      </c>
      <c r="J55" s="103">
        <f t="shared" si="16"/>
        <v>29.845691382765533</v>
      </c>
      <c r="K55" s="103">
        <v>367.55</v>
      </c>
      <c r="L55" s="103">
        <f>F55-K55</f>
        <v>-69.69</v>
      </c>
      <c r="M55" s="108">
        <f t="shared" si="17"/>
        <v>0.8103931437899605</v>
      </c>
      <c r="N55" s="104">
        <f>E55-травень!E55</f>
        <v>80</v>
      </c>
      <c r="O55" s="142">
        <f>F55-травень!F55</f>
        <v>7.480000000000018</v>
      </c>
      <c r="P55" s="105">
        <f t="shared" si="14"/>
        <v>-72.51999999999998</v>
      </c>
      <c r="Q55" s="118">
        <f t="shared" si="11"/>
        <v>9.350000000000023</v>
      </c>
      <c r="R55" s="36"/>
      <c r="S55" s="36">
        <f t="shared" si="15"/>
        <v>7.480000000000018</v>
      </c>
      <c r="T55" s="36"/>
      <c r="U55" s="93"/>
    </row>
    <row r="56" spans="1:21" s="6" customFormat="1" ht="15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43.44</v>
      </c>
      <c r="G58" s="33">
        <f t="shared" si="12"/>
        <v>-46.56</v>
      </c>
      <c r="H58" s="29">
        <f t="shared" si="10"/>
        <v>48.266666666666666</v>
      </c>
      <c r="I58" s="103">
        <f t="shared" si="13"/>
        <v>-156.56</v>
      </c>
      <c r="J58" s="103">
        <f t="shared" si="16"/>
        <v>21.72</v>
      </c>
      <c r="K58" s="103">
        <v>2205.67</v>
      </c>
      <c r="L58" s="103">
        <f>F58-K58</f>
        <v>-2162.23</v>
      </c>
      <c r="M58" s="108">
        <f t="shared" si="17"/>
        <v>0.019694695942729417</v>
      </c>
      <c r="N58" s="104">
        <f>E58-травень!E58</f>
        <v>15</v>
      </c>
      <c r="O58" s="142">
        <f>F58-травень!F58</f>
        <v>0.4399999999999977</v>
      </c>
      <c r="P58" s="105">
        <f t="shared" si="14"/>
        <v>-14.560000000000002</v>
      </c>
      <c r="Q58" s="118">
        <f t="shared" si="11"/>
        <v>2.933333333333318</v>
      </c>
      <c r="R58" s="36"/>
      <c r="S58" s="36">
        <f t="shared" si="15"/>
        <v>0.4399999999999977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4067.63</v>
      </c>
      <c r="G60" s="160">
        <f t="shared" si="12"/>
        <v>-792.3699999999999</v>
      </c>
      <c r="H60" s="162">
        <f t="shared" si="10"/>
        <v>83.69609053497943</v>
      </c>
      <c r="I60" s="163">
        <f t="shared" si="13"/>
        <v>-3282.37</v>
      </c>
      <c r="J60" s="163">
        <f t="shared" si="16"/>
        <v>55.34190476190476</v>
      </c>
      <c r="K60" s="163">
        <v>2320.11</v>
      </c>
      <c r="L60" s="163">
        <f aca="true" t="shared" si="18" ref="L60:L66">F60-K60</f>
        <v>1747.52</v>
      </c>
      <c r="M60" s="216">
        <f t="shared" si="17"/>
        <v>1.7532056669726865</v>
      </c>
      <c r="N60" s="162">
        <f>E60-травень!E60</f>
        <v>600</v>
      </c>
      <c r="O60" s="166">
        <f>F60-травень!F60</f>
        <v>30.490000000000236</v>
      </c>
      <c r="P60" s="165">
        <f t="shared" si="14"/>
        <v>-569.5099999999998</v>
      </c>
      <c r="Q60" s="163">
        <f t="shared" si="11"/>
        <v>5.081666666666706</v>
      </c>
      <c r="R60" s="36">
        <v>450</v>
      </c>
      <c r="S60" s="36">
        <f t="shared" si="15"/>
        <v>-419.50999999999976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F62-травень!F62</f>
        <v>0</v>
      </c>
      <c r="P62" s="164"/>
      <c r="Q62" s="163"/>
      <c r="R62" s="36"/>
      <c r="S62" s="36">
        <f t="shared" si="15"/>
        <v>0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10</v>
      </c>
      <c r="S64" s="36">
        <f t="shared" si="15"/>
        <v>-10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22.35</v>
      </c>
      <c r="G65" s="160">
        <f t="shared" si="12"/>
        <v>14.750000000000002</v>
      </c>
      <c r="H65" s="162">
        <f t="shared" si="10"/>
        <v>294.0789473684211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E65-травень!E65</f>
        <v>1.1999999999999993</v>
      </c>
      <c r="O65" s="166">
        <f>F65-травень!F65</f>
        <v>0</v>
      </c>
      <c r="P65" s="165">
        <f t="shared" si="14"/>
        <v>-1.1999999999999993</v>
      </c>
      <c r="Q65" s="163">
        <f t="shared" si="11"/>
        <v>0</v>
      </c>
      <c r="R65" s="36">
        <v>1.3</v>
      </c>
      <c r="S65" s="36">
        <f t="shared" si="15"/>
        <v>-1.3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537235.46</v>
      </c>
      <c r="G67" s="149">
        <f>F67-E67</f>
        <v>-101563.83999999997</v>
      </c>
      <c r="H67" s="150">
        <f>F67/E67*100</f>
        <v>84.10082165086907</v>
      </c>
      <c r="I67" s="151">
        <f>F67-D67</f>
        <v>-820255.6400000001</v>
      </c>
      <c r="J67" s="151">
        <f>F67/D67*100</f>
        <v>39.57561563387045</v>
      </c>
      <c r="K67" s="151">
        <v>397849.29</v>
      </c>
      <c r="L67" s="151">
        <f>F67-K67</f>
        <v>139386.16999999998</v>
      </c>
      <c r="M67" s="217">
        <f>F67/K67</f>
        <v>1.3503491736783042</v>
      </c>
      <c r="N67" s="149">
        <f>N8+N41+N65+N66</f>
        <v>109292</v>
      </c>
      <c r="O67" s="149">
        <f>O8+O41+O65+O66</f>
        <v>4767.289999999972</v>
      </c>
      <c r="P67" s="153">
        <f>O67-N67</f>
        <v>-104524.71000000002</v>
      </c>
      <c r="Q67" s="151">
        <f>O67/N67*100</f>
        <v>4.36197525893933</v>
      </c>
      <c r="R67" s="26">
        <f>R8+R41+R65+R66</f>
        <v>109914</v>
      </c>
      <c r="S67" s="277">
        <f>O67-R67</f>
        <v>-105146.71000000002</v>
      </c>
      <c r="T67" s="277"/>
      <c r="U67" s="114">
        <f>O67/34768</f>
        <v>0.13711717671421916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0.13</v>
      </c>
      <c r="G76" s="160">
        <f t="shared" si="19"/>
        <v>-8999.87</v>
      </c>
      <c r="H76" s="162">
        <f>F76/E76*100</f>
        <v>0.0014444444444444444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E76-травень!E76</f>
        <v>4500</v>
      </c>
      <c r="O76" s="166">
        <f>F76-травень!F76</f>
        <v>0</v>
      </c>
      <c r="P76" s="165">
        <f t="shared" si="22"/>
        <v>-4500</v>
      </c>
      <c r="Q76" s="165">
        <f>O76/N76*100</f>
        <v>0</v>
      </c>
      <c r="R76" s="37">
        <v>0</v>
      </c>
      <c r="S76" s="37">
        <f aca="true" t="shared" si="23" ref="S76:S87">O76-R76</f>
        <v>0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316.14</v>
      </c>
      <c r="G77" s="160">
        <f t="shared" si="19"/>
        <v>-15313.86</v>
      </c>
      <c r="H77" s="162">
        <f>F77/E77*100</f>
        <v>2.0226487523992325</v>
      </c>
      <c r="I77" s="165">
        <f t="shared" si="20"/>
        <v>-53683.86</v>
      </c>
      <c r="J77" s="165">
        <f>F77/D77*100</f>
        <v>0.5854444444444444</v>
      </c>
      <c r="K77" s="165">
        <v>869.23</v>
      </c>
      <c r="L77" s="165">
        <f t="shared" si="21"/>
        <v>-553.09</v>
      </c>
      <c r="M77" s="207">
        <f>F77/K77</f>
        <v>0.3637012068152273</v>
      </c>
      <c r="N77" s="162">
        <f>E77-травень!E77</f>
        <v>3600</v>
      </c>
      <c r="O77" s="166">
        <f>F77-травень!F77</f>
        <v>11.240000000000009</v>
      </c>
      <c r="P77" s="165">
        <f t="shared" si="22"/>
        <v>-3588.76</v>
      </c>
      <c r="Q77" s="165">
        <f>O77/N77*100</f>
        <v>0.31222222222222246</v>
      </c>
      <c r="R77" s="37">
        <v>200</v>
      </c>
      <c r="S77" s="37">
        <f t="shared" si="23"/>
        <v>-188.76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5224.96</v>
      </c>
      <c r="G78" s="160">
        <f t="shared" si="19"/>
        <v>-10975.04</v>
      </c>
      <c r="H78" s="162">
        <f>F78/E78*100</f>
        <v>32.25283950617284</v>
      </c>
      <c r="I78" s="165">
        <f t="shared" si="20"/>
        <v>-73775.04</v>
      </c>
      <c r="J78" s="165">
        <f>F78/D78*100</f>
        <v>6.6138734177215195</v>
      </c>
      <c r="K78" s="165">
        <v>9113.39</v>
      </c>
      <c r="L78" s="165">
        <f t="shared" si="21"/>
        <v>-3888.4299999999994</v>
      </c>
      <c r="M78" s="207">
        <f>F78/K78</f>
        <v>0.5733278176397587</v>
      </c>
      <c r="N78" s="162">
        <f>E78-травень!E78</f>
        <v>3850</v>
      </c>
      <c r="O78" s="166">
        <f>F78-травень!F78</f>
        <v>639.54</v>
      </c>
      <c r="P78" s="165">
        <f t="shared" si="22"/>
        <v>-3210.46</v>
      </c>
      <c r="Q78" s="165">
        <f>O78/N78*100</f>
        <v>16.611428571428572</v>
      </c>
      <c r="R78" s="37">
        <v>1500</v>
      </c>
      <c r="S78" s="37">
        <f t="shared" si="23"/>
        <v>-860.46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6</v>
      </c>
      <c r="F79" s="179">
        <v>6</v>
      </c>
      <c r="G79" s="160">
        <f t="shared" si="19"/>
        <v>0</v>
      </c>
      <c r="H79" s="162">
        <f>F79/E79*100</f>
        <v>100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0</v>
      </c>
      <c r="P79" s="165">
        <f t="shared" si="22"/>
        <v>-1</v>
      </c>
      <c r="Q79" s="165">
        <f>O79/N79*100</f>
        <v>0</v>
      </c>
      <c r="R79" s="37">
        <v>1</v>
      </c>
      <c r="S79" s="37">
        <f t="shared" si="23"/>
        <v>-1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5547.23</v>
      </c>
      <c r="G80" s="183">
        <f t="shared" si="19"/>
        <v>-35288.770000000004</v>
      </c>
      <c r="H80" s="184">
        <f>F80/E80*100</f>
        <v>13.584165932020763</v>
      </c>
      <c r="I80" s="185">
        <f t="shared" si="20"/>
        <v>-231670.8</v>
      </c>
      <c r="J80" s="185">
        <f>F80/D80*100</f>
        <v>2.3384520982658863</v>
      </c>
      <c r="K80" s="185">
        <v>11029.59</v>
      </c>
      <c r="L80" s="185">
        <f t="shared" si="21"/>
        <v>-5482.360000000001</v>
      </c>
      <c r="M80" s="212">
        <f>F80/K80</f>
        <v>0.5029407258112042</v>
      </c>
      <c r="N80" s="183">
        <f>N76+N77+N78+N79</f>
        <v>11951</v>
      </c>
      <c r="O80" s="187">
        <f>O76+O77+O78+O79</f>
        <v>650.78</v>
      </c>
      <c r="P80" s="185">
        <f t="shared" si="22"/>
        <v>-11300.22</v>
      </c>
      <c r="Q80" s="185">
        <f>O80/N80*100</f>
        <v>5.445402058405154</v>
      </c>
      <c r="R80" s="38">
        <f>SUM(R76:R79)</f>
        <v>1701</v>
      </c>
      <c r="S80" s="38">
        <f t="shared" si="23"/>
        <v>-1050.22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34.1</v>
      </c>
      <c r="G81" s="160">
        <f t="shared" si="19"/>
        <v>30.1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E81-травень!E81</f>
        <v>0.5</v>
      </c>
      <c r="O81" s="166">
        <f>F81-травень!F81</f>
        <v>0</v>
      </c>
      <c r="P81" s="165">
        <f t="shared" si="22"/>
        <v>-0.5</v>
      </c>
      <c r="Q81" s="165"/>
      <c r="R81" s="37">
        <v>1</v>
      </c>
      <c r="S81" s="37">
        <f t="shared" si="23"/>
        <v>-1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5103.22</v>
      </c>
      <c r="G83" s="160">
        <f t="shared" si="19"/>
        <v>596.2200000000003</v>
      </c>
      <c r="H83" s="162">
        <f>F83/E83*100</f>
        <v>113.22875526958065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E83-травень!E83</f>
        <v>0.5</v>
      </c>
      <c r="O83" s="166">
        <f>F83-травень!F83</f>
        <v>0</v>
      </c>
      <c r="P83" s="165">
        <f>O83-N83</f>
        <v>-0.5</v>
      </c>
      <c r="Q83" s="188">
        <f>O83/N83*100</f>
        <v>0</v>
      </c>
      <c r="R83" s="40">
        <v>2850</v>
      </c>
      <c r="S83" s="285">
        <f t="shared" si="23"/>
        <v>-2850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5137.37</v>
      </c>
      <c r="G85" s="181">
        <f>G81+G84+G82+G83</f>
        <v>626.3700000000002</v>
      </c>
      <c r="H85" s="184">
        <f>F85/E85*100</f>
        <v>113.88539126579471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1</v>
      </c>
      <c r="O85" s="187">
        <f>O81+O84+O82+O83</f>
        <v>0</v>
      </c>
      <c r="P85" s="183">
        <f>P81+P84+P82+P83</f>
        <v>-1</v>
      </c>
      <c r="Q85" s="185">
        <f>O85/N85*100</f>
        <v>0</v>
      </c>
      <c r="R85" s="38">
        <f>SUM(R81:R84)</f>
        <v>2851</v>
      </c>
      <c r="S85" s="38">
        <f t="shared" si="23"/>
        <v>-2851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10725.279999999999</v>
      </c>
      <c r="G88" s="190">
        <f>F88-E88</f>
        <v>-34645.020000000004</v>
      </c>
      <c r="H88" s="191">
        <f>F88/E88*100</f>
        <v>23.63942931829853</v>
      </c>
      <c r="I88" s="192">
        <f>F88-D88</f>
        <v>-234930.75</v>
      </c>
      <c r="J88" s="192">
        <f>F88/D88*100</f>
        <v>4.36597465162976</v>
      </c>
      <c r="K88" s="192">
        <v>15931.38</v>
      </c>
      <c r="L88" s="192">
        <f>F88-K88</f>
        <v>-5206.1</v>
      </c>
      <c r="M88" s="219">
        <f t="shared" si="24"/>
        <v>0.6732172605260812</v>
      </c>
      <c r="N88" s="189">
        <f>N74+N75+N80+N85+N86</f>
        <v>11960</v>
      </c>
      <c r="O88" s="189">
        <f>O74+O75+O80+O85+O86</f>
        <v>650.78</v>
      </c>
      <c r="P88" s="192">
        <f t="shared" si="22"/>
        <v>-11309.22</v>
      </c>
      <c r="Q88" s="192">
        <f>O88/N88*100</f>
        <v>5.441304347826087</v>
      </c>
      <c r="R88" s="26">
        <f>R80+R85+R86+R87</f>
        <v>4553.2</v>
      </c>
      <c r="S88" s="26">
        <f>S80+S85+S86+S87</f>
        <v>-3902.42</v>
      </c>
      <c r="T88" s="26"/>
      <c r="U88" s="94">
        <f>O88/8104.96</f>
        <v>0.08029404216677195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547960.74</v>
      </c>
      <c r="G89" s="190">
        <f>F89-E89</f>
        <v>-136208.86</v>
      </c>
      <c r="H89" s="191">
        <f>F89/E89*100</f>
        <v>80.09136038783366</v>
      </c>
      <c r="I89" s="192">
        <f>F89-D89</f>
        <v>-1055186.3900000001</v>
      </c>
      <c r="J89" s="192">
        <f>F89/D89*100</f>
        <v>34.18031506565464</v>
      </c>
      <c r="K89" s="192">
        <f>K67+K88</f>
        <v>413780.67</v>
      </c>
      <c r="L89" s="192">
        <f>F89-K89</f>
        <v>134180.07</v>
      </c>
      <c r="M89" s="219">
        <f t="shared" si="24"/>
        <v>1.3242782462506042</v>
      </c>
      <c r="N89" s="190">
        <f>N67+N88</f>
        <v>121252</v>
      </c>
      <c r="O89" s="190">
        <f>O67+O88</f>
        <v>5418.0699999999715</v>
      </c>
      <c r="P89" s="192">
        <f t="shared" si="22"/>
        <v>-115833.93000000002</v>
      </c>
      <c r="Q89" s="192">
        <f>O89/N89*100</f>
        <v>4.468437634018384</v>
      </c>
      <c r="R89" s="26">
        <f>R67+R88</f>
        <v>114467.2</v>
      </c>
      <c r="S89" s="26">
        <f>S67+S88</f>
        <v>-109049.13000000002</v>
      </c>
      <c r="T89" s="26"/>
      <c r="U89" s="94">
        <f>O89/42872.96</f>
        <v>0.12637499253608736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19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5501.30052631579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42887</v>
      </c>
      <c r="D93" s="28">
        <v>4767.3</v>
      </c>
      <c r="G93" s="4" t="s">
        <v>58</v>
      </c>
      <c r="O93" s="318"/>
      <c r="P93" s="318"/>
    </row>
    <row r="94" spans="3:16" ht="15">
      <c r="C94" s="80">
        <v>42886</v>
      </c>
      <c r="D94" s="28">
        <v>10184.67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42885</v>
      </c>
      <c r="D95" s="28">
        <v>10664.9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2147.03525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740.34</v>
      </c>
      <c r="G100" s="67">
        <f>G48+G51+G52</f>
        <v>119.34000000000003</v>
      </c>
      <c r="H100" s="68"/>
      <c r="I100" s="68"/>
      <c r="N100" s="28">
        <f>N48+N51+N52</f>
        <v>89</v>
      </c>
      <c r="O100" s="200">
        <f>O48+O51+O52</f>
        <v>6.540000000000049</v>
      </c>
      <c r="P100" s="28">
        <f>P48+P51+P52</f>
        <v>-82.45999999999995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509033.67</v>
      </c>
      <c r="G102" s="28">
        <f>F102-E102</f>
        <v>-100112.02999999997</v>
      </c>
      <c r="H102" s="228">
        <f>F102/E102</f>
        <v>0.835651749655296</v>
      </c>
      <c r="I102" s="28">
        <f>F102-D102</f>
        <v>-790014.9300000002</v>
      </c>
      <c r="J102" s="228">
        <f>F102/D102</f>
        <v>0.3918511362854322</v>
      </c>
      <c r="N102" s="28">
        <f>N9+N15+N17+N18+N19+N23+N42+N45+N65+N59</f>
        <v>104173.2</v>
      </c>
      <c r="O102" s="227">
        <f>O9+O15+O17+O18+O19+O23+O42+O45+O65+O59</f>
        <v>1707.009999999973</v>
      </c>
      <c r="P102" s="28">
        <f>O102-N102</f>
        <v>-102466.19000000003</v>
      </c>
      <c r="Q102" s="228">
        <f>O102/N102</f>
        <v>0.016386268253254895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28200.949999999997</v>
      </c>
      <c r="G103" s="28">
        <f>G43+G44+G46+G48+G50+G51+G52+G53+G54+G60+G64+G47</f>
        <v>-1447.4000000000005</v>
      </c>
      <c r="H103" s="228">
        <f>F103/E103</f>
        <v>0.9510126932311759</v>
      </c>
      <c r="I103" s="28">
        <f>I43+I44+I46+I48+I50+I51+I52+I53+I54+I60+I64+I47</f>
        <v>-30236.300000000003</v>
      </c>
      <c r="J103" s="228">
        <f>F103/D103</f>
        <v>0.482541814604098</v>
      </c>
      <c r="K103" s="28">
        <f aca="true" t="shared" si="25" ref="K103:P103">K43+K44+K46+K48+K50+K51+K52+K53+K54+K60+K64+K47</f>
        <v>22597.689999999995</v>
      </c>
      <c r="L103" s="28">
        <f t="shared" si="25"/>
        <v>5608.510000000001</v>
      </c>
      <c r="M103" s="28">
        <f t="shared" si="25"/>
        <v>17.847297484579485</v>
      </c>
      <c r="N103" s="28">
        <f>N43+N44+N46+N48+N50+N51+N52+N53+N54+N60+N64+N47+N66</f>
        <v>5118.8</v>
      </c>
      <c r="O103" s="227">
        <f>O43+O44+O46+O48+O50+O51+O52+O53+O54+O60+O64+O47+O66</f>
        <v>3060.2799999999993</v>
      </c>
      <c r="P103" s="28">
        <f t="shared" si="25"/>
        <v>-2058.5200000000013</v>
      </c>
      <c r="Q103" s="228">
        <f>O103/N103</f>
        <v>0.5978510588419159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537234.62</v>
      </c>
      <c r="G104" s="28">
        <f t="shared" si="26"/>
        <v>-101559.42999999996</v>
      </c>
      <c r="H104" s="228">
        <f>F104/E104</f>
        <v>0.8410069015416893</v>
      </c>
      <c r="I104" s="28">
        <f t="shared" si="26"/>
        <v>-820251.2300000002</v>
      </c>
      <c r="J104" s="228">
        <f>F104/D104</f>
        <v>0.3957555375501172</v>
      </c>
      <c r="K104" s="28">
        <f t="shared" si="26"/>
        <v>22597.689999999995</v>
      </c>
      <c r="L104" s="28">
        <f t="shared" si="26"/>
        <v>5608.510000000001</v>
      </c>
      <c r="M104" s="28">
        <f t="shared" si="26"/>
        <v>17.847297484579485</v>
      </c>
      <c r="N104" s="28">
        <f t="shared" si="26"/>
        <v>109292</v>
      </c>
      <c r="O104" s="227">
        <f t="shared" si="26"/>
        <v>4767.289999999972</v>
      </c>
      <c r="P104" s="28">
        <f t="shared" si="26"/>
        <v>-104524.71000000004</v>
      </c>
      <c r="Q104" s="228">
        <f>O104/N104</f>
        <v>0.043619752589393296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-4.4100000000034925</v>
      </c>
      <c r="H105" s="228"/>
      <c r="I105" s="28">
        <f t="shared" si="27"/>
        <v>-4.409999999916181</v>
      </c>
      <c r="J105" s="228"/>
      <c r="K105" s="28">
        <f t="shared" si="27"/>
        <v>375251.6</v>
      </c>
      <c r="L105" s="28">
        <f t="shared" si="27"/>
        <v>133777.65999999997</v>
      </c>
      <c r="M105" s="28">
        <f t="shared" si="27"/>
        <v>-16.496948310901182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109914</v>
      </c>
      <c r="S105" s="28"/>
      <c r="T105" s="28"/>
      <c r="U105" s="28">
        <f t="shared" si="27"/>
        <v>0.13711717671421916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30979.6</v>
      </c>
      <c r="G111" s="190">
        <f>F111-E111</f>
        <v>-32492.760000000002</v>
      </c>
      <c r="H111" s="191">
        <f>F111/E111*100</f>
        <v>48.80801659178893</v>
      </c>
      <c r="I111" s="192">
        <f>F111-D111</f>
        <v>-287084.65</v>
      </c>
      <c r="J111" s="192">
        <f>F111/D111*100</f>
        <v>9.740044660787875</v>
      </c>
      <c r="K111" s="192">
        <v>3039.87</v>
      </c>
      <c r="L111" s="192">
        <f>F111-K111</f>
        <v>27939.73</v>
      </c>
      <c r="M111" s="266">
        <f>F111/K111</f>
        <v>10.191093698085773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568215.0599999999</v>
      </c>
      <c r="G112" s="190">
        <f>F112-E112</f>
        <v>-134056.59999999998</v>
      </c>
      <c r="H112" s="191">
        <f>F112/E112*100</f>
        <v>80.91100529387731</v>
      </c>
      <c r="I112" s="192">
        <f>F112-D112</f>
        <v>-1107340.29</v>
      </c>
      <c r="J112" s="192">
        <f>F112/D112*100</f>
        <v>33.91204355021754</v>
      </c>
      <c r="K112" s="192">
        <f>K89+K111</f>
        <v>416820.54</v>
      </c>
      <c r="L112" s="192">
        <f>F112-K112</f>
        <v>151394.51999999996</v>
      </c>
      <c r="M112" s="266">
        <f>F112/K112</f>
        <v>1.3632127149972024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1114044.14</v>
      </c>
      <c r="G124" s="275">
        <f t="shared" si="29"/>
        <v>-138883.11999999988</v>
      </c>
      <c r="H124" s="274">
        <f t="shared" si="31"/>
        <v>88.91530861895367</v>
      </c>
      <c r="I124" s="276">
        <f t="shared" si="30"/>
        <v>-1784379.9000000001</v>
      </c>
      <c r="J124" s="276">
        <f t="shared" si="32"/>
        <v>38.436202730363775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31496062992125984" right="0.11811023622047245" top="0.1968503937007874" bottom="0.15748031496062992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2" sqref="K1:M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194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188</v>
      </c>
      <c r="O3" s="301" t="s">
        <v>189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185</v>
      </c>
      <c r="F4" s="304" t="s">
        <v>33</v>
      </c>
      <c r="G4" s="306" t="s">
        <v>186</v>
      </c>
      <c r="H4" s="299" t="s">
        <v>187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195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191</v>
      </c>
      <c r="L5" s="312"/>
      <c r="M5" s="313"/>
      <c r="N5" s="300"/>
      <c r="O5" s="309"/>
      <c r="P5" s="307"/>
      <c r="Q5" s="310"/>
      <c r="R5" s="314" t="s">
        <v>190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99">
        <v>57980</v>
      </c>
      <c r="S9" s="99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36">
        <v>150</v>
      </c>
      <c r="S15" s="99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36">
        <v>9450</v>
      </c>
      <c r="S19" s="99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99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106">
        <v>347</v>
      </c>
      <c r="S25" s="99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106">
        <v>14000</v>
      </c>
      <c r="S29" s="99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106">
        <v>22700</v>
      </c>
      <c r="S35" s="99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36">
        <v>420</v>
      </c>
      <c r="S42" s="36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18"/>
      <c r="P93" s="318"/>
    </row>
    <row r="94" spans="3:16" ht="15">
      <c r="C94" s="80">
        <v>42885</v>
      </c>
      <c r="D94" s="28">
        <v>10664.9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42884</v>
      </c>
      <c r="D95" s="28">
        <v>6919.44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1135.71022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8" t="s">
        <v>183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5"/>
      <c r="T1" s="85"/>
      <c r="U1" s="86"/>
    </row>
    <row r="2" spans="2:21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178</v>
      </c>
      <c r="O3" s="301" t="s">
        <v>177</v>
      </c>
      <c r="P3" s="301"/>
      <c r="Q3" s="301"/>
      <c r="R3" s="301"/>
      <c r="S3" s="301"/>
      <c r="T3" s="301"/>
      <c r="U3" s="301"/>
    </row>
    <row r="4" spans="1:21" ht="22.5" customHeight="1">
      <c r="A4" s="290"/>
      <c r="B4" s="292"/>
      <c r="C4" s="293"/>
      <c r="D4" s="294"/>
      <c r="E4" s="302" t="s">
        <v>174</v>
      </c>
      <c r="F4" s="304" t="s">
        <v>33</v>
      </c>
      <c r="G4" s="306" t="s">
        <v>175</v>
      </c>
      <c r="H4" s="299" t="s">
        <v>176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184</v>
      </c>
      <c r="P4" s="306" t="s">
        <v>49</v>
      </c>
      <c r="Q4" s="310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179</v>
      </c>
      <c r="L5" s="312"/>
      <c r="M5" s="313"/>
      <c r="N5" s="300"/>
      <c r="O5" s="309"/>
      <c r="P5" s="307"/>
      <c r="Q5" s="310"/>
      <c r="R5" s="314" t="s">
        <v>180</v>
      </c>
      <c r="S5" s="315"/>
      <c r="T5" s="316" t="s">
        <v>181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18"/>
      <c r="P93" s="318"/>
    </row>
    <row r="94" spans="3:16" ht="15">
      <c r="C94" s="80">
        <v>42852</v>
      </c>
      <c r="D94" s="28">
        <v>13266.8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42851</v>
      </c>
      <c r="D95" s="28">
        <v>6064.2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102.57358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 hidden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88" t="s">
        <v>172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  <c r="T1" s="243"/>
      <c r="U1" s="246"/>
      <c r="V1" s="256"/>
      <c r="W1" s="256"/>
    </row>
    <row r="2" spans="2:23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150</v>
      </c>
      <c r="O3" s="301" t="s">
        <v>151</v>
      </c>
      <c r="P3" s="301"/>
      <c r="Q3" s="301"/>
      <c r="R3" s="301"/>
      <c r="S3" s="301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0"/>
      <c r="B4" s="292"/>
      <c r="C4" s="293"/>
      <c r="D4" s="294"/>
      <c r="E4" s="302" t="s">
        <v>140</v>
      </c>
      <c r="F4" s="304" t="s">
        <v>33</v>
      </c>
      <c r="G4" s="306" t="s">
        <v>149</v>
      </c>
      <c r="H4" s="299" t="s">
        <v>163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173</v>
      </c>
      <c r="P4" s="306" t="s">
        <v>49</v>
      </c>
      <c r="Q4" s="310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156</v>
      </c>
      <c r="L5" s="312"/>
      <c r="M5" s="313"/>
      <c r="N5" s="300"/>
      <c r="O5" s="309"/>
      <c r="P5" s="307"/>
      <c r="Q5" s="310"/>
      <c r="R5" s="311" t="s">
        <v>102</v>
      </c>
      <c r="S5" s="313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7"/>
      <c r="H92" s="317"/>
      <c r="I92" s="317"/>
      <c r="J92" s="317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8"/>
      <c r="P93" s="318"/>
    </row>
    <row r="94" spans="3:16" ht="15">
      <c r="C94" s="80">
        <v>42824</v>
      </c>
      <c r="D94" s="28">
        <v>11112.7</v>
      </c>
      <c r="F94" s="112" t="s">
        <v>58</v>
      </c>
      <c r="G94" s="319"/>
      <c r="H94" s="319"/>
      <c r="I94" s="117"/>
      <c r="J94" s="320"/>
      <c r="K94" s="320"/>
      <c r="L94" s="320"/>
      <c r="M94" s="320"/>
      <c r="N94" s="320"/>
      <c r="O94" s="318"/>
      <c r="P94" s="318"/>
    </row>
    <row r="95" spans="3:16" ht="15.75" customHeight="1">
      <c r="C95" s="80">
        <v>42823</v>
      </c>
      <c r="D95" s="28">
        <v>8830.3</v>
      </c>
      <c r="F95" s="67"/>
      <c r="G95" s="319"/>
      <c r="H95" s="319"/>
      <c r="I95" s="117"/>
      <c r="J95" s="321"/>
      <c r="K95" s="321"/>
      <c r="L95" s="321"/>
      <c r="M95" s="321"/>
      <c r="N95" s="321"/>
      <c r="O95" s="318"/>
      <c r="P95" s="318"/>
    </row>
    <row r="96" spans="3:14" ht="15.75" customHeight="1">
      <c r="C96" s="80"/>
      <c r="F96" s="67"/>
      <c r="G96" s="325"/>
      <c r="H96" s="325"/>
      <c r="I96" s="123"/>
      <c r="J96" s="320"/>
      <c r="K96" s="320"/>
      <c r="L96" s="320"/>
      <c r="M96" s="320"/>
      <c r="N96" s="320"/>
    </row>
    <row r="97" spans="2:14" ht="18" customHeight="1">
      <c r="B97" s="326" t="s">
        <v>56</v>
      </c>
      <c r="C97" s="327"/>
      <c r="D97" s="132">
        <v>1399.2856000000002</v>
      </c>
      <c r="E97" s="68"/>
      <c r="F97" s="124" t="s">
        <v>105</v>
      </c>
      <c r="G97" s="319"/>
      <c r="H97" s="319"/>
      <c r="I97" s="125"/>
      <c r="J97" s="320"/>
      <c r="K97" s="320"/>
      <c r="L97" s="320"/>
      <c r="M97" s="320"/>
      <c r="N97" s="320"/>
    </row>
    <row r="98" spans="6:13" ht="9.75" customHeight="1">
      <c r="F98" s="67"/>
      <c r="G98" s="319"/>
      <c r="H98" s="319"/>
      <c r="I98" s="67"/>
      <c r="J98" s="68"/>
      <c r="K98" s="68"/>
      <c r="L98" s="68"/>
      <c r="M98" s="68"/>
    </row>
    <row r="99" spans="2:13" ht="22.5" customHeight="1" hidden="1">
      <c r="B99" s="322" t="s">
        <v>59</v>
      </c>
      <c r="C99" s="323"/>
      <c r="D99" s="79">
        <v>0</v>
      </c>
      <c r="E99" s="50" t="s">
        <v>24</v>
      </c>
      <c r="F99" s="67"/>
      <c r="G99" s="319"/>
      <c r="H99" s="31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4"/>
      <c r="P101" s="324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8" t="s">
        <v>138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</row>
    <row r="2" spans="2:19" s="1" customFormat="1" ht="15.75" customHeight="1">
      <c r="B2" s="289"/>
      <c r="C2" s="289"/>
      <c r="D2" s="28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0"/>
      <c r="B3" s="292"/>
      <c r="C3" s="293" t="s">
        <v>0</v>
      </c>
      <c r="D3" s="294" t="s">
        <v>137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131</v>
      </c>
      <c r="O3" s="301" t="s">
        <v>135</v>
      </c>
      <c r="P3" s="301"/>
      <c r="Q3" s="301"/>
      <c r="R3" s="301"/>
      <c r="S3" s="301"/>
    </row>
    <row r="4" spans="1:19" ht="22.5" customHeight="1">
      <c r="A4" s="290"/>
      <c r="B4" s="292"/>
      <c r="C4" s="293"/>
      <c r="D4" s="294"/>
      <c r="E4" s="302" t="s">
        <v>136</v>
      </c>
      <c r="F4" s="304" t="s">
        <v>33</v>
      </c>
      <c r="G4" s="306" t="s">
        <v>132</v>
      </c>
      <c r="H4" s="299" t="s">
        <v>133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139</v>
      </c>
      <c r="P4" s="306" t="s">
        <v>49</v>
      </c>
      <c r="Q4" s="310" t="s">
        <v>48</v>
      </c>
      <c r="R4" s="90" t="s">
        <v>64</v>
      </c>
      <c r="S4" s="91" t="s">
        <v>63</v>
      </c>
    </row>
    <row r="5" spans="1:19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134</v>
      </c>
      <c r="L5" s="312"/>
      <c r="M5" s="313"/>
      <c r="N5" s="300"/>
      <c r="O5" s="309"/>
      <c r="P5" s="307"/>
      <c r="Q5" s="310"/>
      <c r="R5" s="311" t="s">
        <v>102</v>
      </c>
      <c r="S5" s="31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7"/>
      <c r="H89" s="317"/>
      <c r="I89" s="317"/>
      <c r="J89" s="31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8"/>
      <c r="P90" s="318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9"/>
      <c r="H91" s="319"/>
      <c r="I91" s="117"/>
      <c r="J91" s="320"/>
      <c r="K91" s="320"/>
      <c r="L91" s="320"/>
      <c r="M91" s="320"/>
      <c r="N91" s="320"/>
      <c r="O91" s="318"/>
      <c r="P91" s="318"/>
    </row>
    <row r="92" spans="3:16" ht="15.75" customHeight="1">
      <c r="C92" s="80">
        <v>42790</v>
      </c>
      <c r="D92" s="28">
        <v>4206.9</v>
      </c>
      <c r="F92" s="67"/>
      <c r="G92" s="319"/>
      <c r="H92" s="319"/>
      <c r="I92" s="117"/>
      <c r="J92" s="321"/>
      <c r="K92" s="321"/>
      <c r="L92" s="321"/>
      <c r="M92" s="321"/>
      <c r="N92" s="321"/>
      <c r="O92" s="318"/>
      <c r="P92" s="318"/>
    </row>
    <row r="93" spans="3:14" ht="15.75" customHeight="1">
      <c r="C93" s="80"/>
      <c r="F93" s="67"/>
      <c r="G93" s="325"/>
      <c r="H93" s="325"/>
      <c r="I93" s="123"/>
      <c r="J93" s="320"/>
      <c r="K93" s="320"/>
      <c r="L93" s="320"/>
      <c r="M93" s="320"/>
      <c r="N93" s="320"/>
    </row>
    <row r="94" spans="2:14" ht="18.75" customHeight="1">
      <c r="B94" s="326" t="s">
        <v>56</v>
      </c>
      <c r="C94" s="327"/>
      <c r="D94" s="132">
        <v>7713.34596</v>
      </c>
      <c r="E94" s="68"/>
      <c r="F94" s="124" t="s">
        <v>105</v>
      </c>
      <c r="G94" s="319"/>
      <c r="H94" s="319"/>
      <c r="I94" s="125"/>
      <c r="J94" s="320"/>
      <c r="K94" s="320"/>
      <c r="L94" s="320"/>
      <c r="M94" s="320"/>
      <c r="N94" s="320"/>
    </row>
    <row r="95" spans="6:13" ht="9.75" customHeight="1">
      <c r="F95" s="67"/>
      <c r="G95" s="319"/>
      <c r="H95" s="319"/>
      <c r="I95" s="67"/>
      <c r="J95" s="68"/>
      <c r="K95" s="68"/>
      <c r="L95" s="68"/>
      <c r="M95" s="68"/>
    </row>
    <row r="96" spans="2:13" ht="22.5" customHeight="1" hidden="1">
      <c r="B96" s="322" t="s">
        <v>59</v>
      </c>
      <c r="C96" s="323"/>
      <c r="D96" s="79">
        <v>0</v>
      </c>
      <c r="E96" s="50" t="s">
        <v>24</v>
      </c>
      <c r="F96" s="67"/>
      <c r="G96" s="319"/>
      <c r="H96" s="31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4"/>
      <c r="P98" s="324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8" t="s">
        <v>130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85"/>
      <c r="S1" s="86"/>
    </row>
    <row r="2" spans="2:19" s="1" customFormat="1" ht="15.75" customHeight="1">
      <c r="B2" s="289"/>
      <c r="C2" s="289"/>
      <c r="D2" s="28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0"/>
      <c r="B3" s="292"/>
      <c r="C3" s="293" t="s">
        <v>0</v>
      </c>
      <c r="D3" s="294" t="s">
        <v>121</v>
      </c>
      <c r="E3" s="31"/>
      <c r="F3" s="295" t="s">
        <v>26</v>
      </c>
      <c r="G3" s="296"/>
      <c r="H3" s="296"/>
      <c r="I3" s="296"/>
      <c r="J3" s="297"/>
      <c r="K3" s="82"/>
      <c r="L3" s="82"/>
      <c r="M3" s="82"/>
      <c r="N3" s="298" t="s">
        <v>119</v>
      </c>
      <c r="O3" s="301" t="s">
        <v>115</v>
      </c>
      <c r="P3" s="301"/>
      <c r="Q3" s="301"/>
      <c r="R3" s="301"/>
      <c r="S3" s="301"/>
    </row>
    <row r="4" spans="1:19" ht="22.5" customHeight="1">
      <c r="A4" s="290"/>
      <c r="B4" s="292"/>
      <c r="C4" s="293"/>
      <c r="D4" s="294"/>
      <c r="E4" s="302" t="s">
        <v>122</v>
      </c>
      <c r="F4" s="304" t="s">
        <v>33</v>
      </c>
      <c r="G4" s="306" t="s">
        <v>123</v>
      </c>
      <c r="H4" s="299" t="s">
        <v>124</v>
      </c>
      <c r="I4" s="306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8" t="s">
        <v>120</v>
      </c>
      <c r="P4" s="306" t="s">
        <v>49</v>
      </c>
      <c r="Q4" s="310" t="s">
        <v>48</v>
      </c>
      <c r="R4" s="90" t="s">
        <v>64</v>
      </c>
      <c r="S4" s="91" t="s">
        <v>63</v>
      </c>
    </row>
    <row r="5" spans="1:19" ht="67.5" customHeight="1">
      <c r="A5" s="291"/>
      <c r="B5" s="292"/>
      <c r="C5" s="293"/>
      <c r="D5" s="294"/>
      <c r="E5" s="303"/>
      <c r="F5" s="305"/>
      <c r="G5" s="307"/>
      <c r="H5" s="300"/>
      <c r="I5" s="307"/>
      <c r="J5" s="300"/>
      <c r="K5" s="311" t="s">
        <v>129</v>
      </c>
      <c r="L5" s="312"/>
      <c r="M5" s="313"/>
      <c r="N5" s="300"/>
      <c r="O5" s="309"/>
      <c r="P5" s="307"/>
      <c r="Q5" s="310"/>
      <c r="R5" s="311" t="s">
        <v>102</v>
      </c>
      <c r="S5" s="31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7"/>
      <c r="H89" s="317"/>
      <c r="I89" s="317"/>
      <c r="J89" s="31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8"/>
      <c r="P90" s="318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9"/>
      <c r="H91" s="319"/>
      <c r="I91" s="117"/>
      <c r="J91" s="320"/>
      <c r="K91" s="320"/>
      <c r="L91" s="320"/>
      <c r="M91" s="320"/>
      <c r="N91" s="320"/>
      <c r="O91" s="318"/>
      <c r="P91" s="318"/>
    </row>
    <row r="92" spans="3:16" ht="15.75" customHeight="1">
      <c r="C92" s="80">
        <v>42762</v>
      </c>
      <c r="D92" s="28">
        <v>8862.4</v>
      </c>
      <c r="F92" s="67"/>
      <c r="G92" s="319"/>
      <c r="H92" s="319"/>
      <c r="I92" s="117"/>
      <c r="J92" s="321"/>
      <c r="K92" s="321"/>
      <c r="L92" s="321"/>
      <c r="M92" s="321"/>
      <c r="N92" s="321"/>
      <c r="O92" s="318"/>
      <c r="P92" s="318"/>
    </row>
    <row r="93" spans="3:14" ht="15.75" customHeight="1">
      <c r="C93" s="80"/>
      <c r="F93" s="67"/>
      <c r="G93" s="325"/>
      <c r="H93" s="325"/>
      <c r="I93" s="123"/>
      <c r="J93" s="320"/>
      <c r="K93" s="320"/>
      <c r="L93" s="320"/>
      <c r="M93" s="320"/>
      <c r="N93" s="320"/>
    </row>
    <row r="94" spans="2:14" ht="18.75" customHeight="1">
      <c r="B94" s="326" t="s">
        <v>56</v>
      </c>
      <c r="C94" s="327"/>
      <c r="D94" s="132">
        <f>9505303.41/1000</f>
        <v>9505.30341</v>
      </c>
      <c r="E94" s="68"/>
      <c r="F94" s="124" t="s">
        <v>105</v>
      </c>
      <c r="G94" s="319"/>
      <c r="H94" s="319"/>
      <c r="I94" s="125"/>
      <c r="J94" s="320"/>
      <c r="K94" s="320"/>
      <c r="L94" s="320"/>
      <c r="M94" s="320"/>
      <c r="N94" s="320"/>
    </row>
    <row r="95" spans="6:13" ht="9.75" customHeight="1">
      <c r="F95" s="67"/>
      <c r="G95" s="319"/>
      <c r="H95" s="319"/>
      <c r="I95" s="67"/>
      <c r="J95" s="68"/>
      <c r="K95" s="68"/>
      <c r="L95" s="68"/>
      <c r="M95" s="68"/>
    </row>
    <row r="96" spans="2:13" ht="22.5" customHeight="1" hidden="1">
      <c r="B96" s="322" t="s">
        <v>59</v>
      </c>
      <c r="C96" s="323"/>
      <c r="D96" s="79">
        <v>0</v>
      </c>
      <c r="E96" s="50" t="s">
        <v>24</v>
      </c>
      <c r="F96" s="67"/>
      <c r="G96" s="319"/>
      <c r="H96" s="31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4"/>
      <c r="P98" s="324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2017-06-02T11:17:03Z</cp:lastPrinted>
  <dcterms:created xsi:type="dcterms:W3CDTF">2003-07-28T11:27:56Z</dcterms:created>
  <dcterms:modified xsi:type="dcterms:W3CDTF">2017-06-02T11:45:52Z</dcterms:modified>
  <cp:category/>
  <cp:version/>
  <cp:contentType/>
  <cp:contentStatus/>
</cp:coreProperties>
</file>